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Area" localSheetId="0">'Foaie1'!$A$1:$O$40</definedName>
    <definedName name="_xlnm.Print_Titles" localSheetId="0">'Foaie1'!$6:$6</definedName>
  </definedNames>
  <calcPr fullCalcOnLoad="1"/>
</workbook>
</file>

<file path=xl/sharedStrings.xml><?xml version="1.0" encoding="utf-8"?>
<sst xmlns="http://schemas.openxmlformats.org/spreadsheetml/2006/main" count="49" uniqueCount="49">
  <si>
    <t>NUME FURNIZOR</t>
  </si>
  <si>
    <t>CABINET PHYSIODINAMIC FIZIOTERAPIE SI RECUPERARE MEDICALA</t>
  </si>
  <si>
    <t>S.C. FIZIOTRIMED SRL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</si>
  <si>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</si>
  <si>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</si>
  <si>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</si>
  <si>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</si>
  <si>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</si>
  <si>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</si>
  <si>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</si>
  <si>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</si>
  <si>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</si>
  <si>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</si>
  <si>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</si>
  <si>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</si>
  <si>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</si>
  <si>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</si>
  <si>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</si>
  <si>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</si>
  <si>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SC CENTRUL MEDICALORTHOPEDICS SRL</t>
  </si>
  <si>
    <t>SOCIETATE DE TRATAMENT BALNEAR SI RECUPERATE A CAPACITATII DE MUNCA ''TBRCM SA BUCURESTI SUCURSALA BUZIAS</t>
  </si>
  <si>
    <t>SC CENTRUL DE KINETOTERAPIE SI MASAJ BANAT SRL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</si>
  <si>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</si>
  <si>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</si>
  <si>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</si>
  <si>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</si>
  <si>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</si>
  <si>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</si>
  <si>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</si>
  <si>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VALOARE APARATE 50% </t>
  </si>
  <si>
    <t xml:space="preserve">VALOARE PERSONAL 50% </t>
  </si>
  <si>
    <t>SC CABINET MEDICAL DE FIZIOTERAPIE DR BURCHICI ADINA SRL</t>
  </si>
  <si>
    <t xml:space="preserve"> SPITALUL CLINIC MUNICIPAL DE URGENTA TIMISOARA</t>
  </si>
  <si>
    <t xml:space="preserve">TOTAL VAL PERSONAL 50% RECUP </t>
  </si>
  <si>
    <t xml:space="preserve">TOTAL VAL APARATE 50% RECUP </t>
  </si>
  <si>
    <t>SC POLICLINICA SANITAS</t>
  </si>
  <si>
    <t>PUNCTE APARATE (B/A*A1)</t>
  </si>
  <si>
    <t>TOTAL PROCEDURI/APARATURA/ORA (a)</t>
  </si>
  <si>
    <t>TOTAL PROCEDURI /PERS MEDIU SANITAR/ORA (b)</t>
  </si>
  <si>
    <t>ACUPUNCTURA PROCENT DIN RECUPERARE</t>
  </si>
  <si>
    <t>TOTAL BUGET RECUPERARE SI ACUPUNCTURA IANUARIE 2020</t>
  </si>
  <si>
    <t>VALOARE ACUPUNCTURA  IANUARIE 2020</t>
  </si>
  <si>
    <t xml:space="preserve">VALOARE RECUPERARE FARA ACUPUNCTURA IANUARIE 2020 </t>
  </si>
  <si>
    <t>VAL PCT APARAT IANUARIE 2020</t>
  </si>
  <si>
    <t>VAL PCT PERSONAL  IANUARIE 2020</t>
  </si>
  <si>
    <t>TOTAL VALOARE CONTRACT PENTRU LUNA IANUARIE 2020</t>
  </si>
  <si>
    <t>10,3%</t>
  </si>
  <si>
    <t>SITUATIA  PUNCTAJELOR , VALOAREA PUNCTULUI SI VALORI CONTRACT ALOCATE IANUARIE 2020</t>
  </si>
  <si>
    <t>FURNIZORI DE SERVICII MEDICALE DE MEDICINA FIZICA SI DE REABILITARE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</si>
</sst>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;[Red]#,##0.00"/>
    <numFmt numFmtId="174" formatCode="0.000000"/>
    <numFmt numFmtId="175" formatCode="#,##0.00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 quotePrefix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I39" sqref="I39"/>
    </sheetView>
  </sheetViews>
  <sheetFormatPr defaultColWidth="9.140625" defaultRowHeight="12.75"/>
  <cols>
    <col min="1" max="1" width="9.7109375" style="20" customWidth="1"/>
    <col min="2" max="2" width="40.7109375" style="20" customWidth="1"/>
    <col min="3" max="3" width="19.7109375" style="20" customWidth="1"/>
    <col min="4" max="4" width="14.57421875" style="20" customWidth="1"/>
    <col min="5" max="5" width="15.00390625" style="20" customWidth="1"/>
    <col min="6" max="6" width="8.7109375" style="20" customWidth="1"/>
    <col min="7" max="7" width="15.28125" style="20" customWidth="1"/>
    <col min="8" max="9" width="13.7109375" style="20" customWidth="1"/>
    <col min="10" max="10" width="14.7109375" style="20" customWidth="1"/>
    <col min="11" max="11" width="11.00390625" style="20" customWidth="1"/>
    <col min="12" max="12" width="13.57421875" style="20" customWidth="1"/>
    <col min="13" max="13" width="13.28125" style="20" customWidth="1"/>
    <col min="14" max="14" width="14.57421875" style="20" customWidth="1"/>
    <col min="15" max="15" width="22.28125" style="20" customWidth="1"/>
    <col min="16" max="16384" width="9.140625" style="20" customWidth="1"/>
  </cols>
  <sheetData>
    <row r="1" spans="3:15" s="7" customFormat="1" ht="12.75">
      <c r="C1" s="17"/>
      <c r="D1" s="17"/>
      <c r="E1" s="17"/>
      <c r="G1" s="17"/>
      <c r="H1" s="17"/>
      <c r="I1" s="17"/>
      <c r="J1" s="17"/>
      <c r="K1" s="17"/>
      <c r="L1" s="17"/>
      <c r="M1" s="17"/>
      <c r="N1" s="17"/>
      <c r="O1" s="17"/>
    </row>
    <row r="2" spans="1:8" ht="18">
      <c r="A2" s="17"/>
      <c r="B2" s="7"/>
      <c r="C2" s="7"/>
      <c r="D2" s="7"/>
      <c r="E2" s="7"/>
      <c r="F2" s="7"/>
      <c r="G2" s="7"/>
      <c r="H2" s="18"/>
    </row>
    <row r="3" spans="1:9" s="7" customFormat="1" ht="18">
      <c r="A3" s="17"/>
      <c r="C3" s="18" t="s">
        <v>47</v>
      </c>
      <c r="D3" s="17"/>
      <c r="E3" s="17"/>
      <c r="H3" s="17"/>
      <c r="I3" s="17"/>
    </row>
    <row r="4" spans="1:9" s="7" customFormat="1" ht="18">
      <c r="A4" s="17"/>
      <c r="C4" s="18" t="s">
        <v>48</v>
      </c>
      <c r="D4" s="20"/>
      <c r="E4" s="20"/>
      <c r="F4" s="20"/>
      <c r="G4" s="20"/>
      <c r="H4" s="17"/>
      <c r="I4" s="17"/>
    </row>
    <row r="5" spans="1:15" s="7" customFormat="1" ht="18">
      <c r="A5" s="17"/>
      <c r="C5" s="18"/>
      <c r="D5" s="20"/>
      <c r="E5" s="20"/>
      <c r="F5" s="20"/>
      <c r="G5" s="20"/>
      <c r="H5" s="17"/>
      <c r="I5" s="17"/>
      <c r="O5" s="24"/>
    </row>
    <row r="6" spans="1:15" s="7" customFormat="1" ht="81" customHeight="1">
      <c r="A6" s="23" t="s">
        <v>6</v>
      </c>
      <c r="B6" s="2" t="s">
        <v>0</v>
      </c>
      <c r="C6" s="2" t="s">
        <v>8</v>
      </c>
      <c r="D6" s="2" t="s">
        <v>37</v>
      </c>
      <c r="E6" s="2" t="s">
        <v>38</v>
      </c>
      <c r="F6" s="2" t="s">
        <v>11</v>
      </c>
      <c r="G6" s="2" t="s">
        <v>36</v>
      </c>
      <c r="H6" s="2" t="s">
        <v>9</v>
      </c>
      <c r="I6" s="2" t="s">
        <v>12</v>
      </c>
      <c r="J6" s="2" t="s">
        <v>14</v>
      </c>
      <c r="K6" s="2" t="s">
        <v>18</v>
      </c>
      <c r="L6" s="2" t="s">
        <v>10</v>
      </c>
      <c r="M6" s="2" t="s">
        <v>29</v>
      </c>
      <c r="N6" s="2" t="s">
        <v>30</v>
      </c>
      <c r="O6" s="2" t="s">
        <v>45</v>
      </c>
    </row>
    <row r="7" spans="1:15" ht="53.25" customHeight="1">
      <c r="A7" s="2">
        <v>1</v>
      </c>
      <c r="B7" s="1" t="s">
        <v>31</v>
      </c>
      <c r="C7" s="1">
        <f>120+40</f>
        <v>160</v>
      </c>
      <c r="D7" s="1">
        <f>39+16</f>
        <v>55</v>
      </c>
      <c r="E7" s="1">
        <f>45-2.5+5</f>
        <v>47.5</v>
      </c>
      <c r="F7" s="19">
        <f aca="true" t="shared" si="0" ref="F7:F18">E7/D7</f>
        <v>0.8636363636363636</v>
      </c>
      <c r="G7" s="19">
        <f>F7*C7</f>
        <v>138.1818181818182</v>
      </c>
      <c r="H7" s="1">
        <v>60</v>
      </c>
      <c r="I7" s="1">
        <v>0</v>
      </c>
      <c r="J7" s="19">
        <f>G7+H7</f>
        <v>198.1818181818182</v>
      </c>
      <c r="K7" s="1">
        <f>102+4.38-2.5+7.5</f>
        <v>111.38</v>
      </c>
      <c r="L7" s="19">
        <f>J7+K7</f>
        <v>309.5618181818182</v>
      </c>
      <c r="M7" s="19">
        <f aca="true" t="shared" si="1" ref="M7:M28">J7*$D$38</f>
        <v>4853.663204787138</v>
      </c>
      <c r="N7" s="19">
        <f aca="true" t="shared" si="2" ref="N7:N28">K7*$D$40</f>
        <v>5295.220130971449</v>
      </c>
      <c r="O7" s="19">
        <f>M7+N7</f>
        <v>10148.883335758586</v>
      </c>
    </row>
    <row r="8" spans="1:15" ht="33" customHeight="1">
      <c r="A8" s="2">
        <v>2</v>
      </c>
      <c r="B8" s="1" t="s">
        <v>13</v>
      </c>
      <c r="C8" s="1">
        <v>185</v>
      </c>
      <c r="D8" s="1">
        <v>64</v>
      </c>
      <c r="E8" s="1">
        <v>70</v>
      </c>
      <c r="F8" s="19">
        <f t="shared" si="0"/>
        <v>1.09375</v>
      </c>
      <c r="G8" s="19">
        <f>C8</f>
        <v>185</v>
      </c>
      <c r="H8" s="1">
        <v>60</v>
      </c>
      <c r="I8" s="1">
        <v>0</v>
      </c>
      <c r="J8" s="19">
        <f aca="true" t="shared" si="3" ref="J8:J14">G8+H8+I8</f>
        <v>245</v>
      </c>
      <c r="K8" s="1">
        <f>125+3.59</f>
        <v>128.59</v>
      </c>
      <c r="L8" s="19">
        <f aca="true" t="shared" si="4" ref="L8:L28">J8+K8</f>
        <v>373.59000000000003</v>
      </c>
      <c r="M8" s="19">
        <f t="shared" si="1"/>
        <v>6000.285475642815</v>
      </c>
      <c r="N8" s="19">
        <f t="shared" si="2"/>
        <v>6113.416741260718</v>
      </c>
      <c r="O8" s="19">
        <f aca="true" t="shared" si="5" ref="O8:O28">M8+N8</f>
        <v>12113.702216903534</v>
      </c>
    </row>
    <row r="9" spans="1:15" ht="33" customHeight="1">
      <c r="A9" s="2">
        <v>3</v>
      </c>
      <c r="B9" s="1" t="s">
        <v>15</v>
      </c>
      <c r="C9" s="1">
        <v>135</v>
      </c>
      <c r="D9" s="1">
        <v>39</v>
      </c>
      <c r="E9" s="1">
        <v>40</v>
      </c>
      <c r="F9" s="19">
        <f t="shared" si="0"/>
        <v>1.0256410256410255</v>
      </c>
      <c r="G9" s="19">
        <f>C9</f>
        <v>135</v>
      </c>
      <c r="H9" s="1">
        <v>40</v>
      </c>
      <c r="I9" s="1">
        <v>0</v>
      </c>
      <c r="J9" s="19">
        <f t="shared" si="3"/>
        <v>175</v>
      </c>
      <c r="K9" s="1">
        <f>63+2</f>
        <v>65</v>
      </c>
      <c r="L9" s="19">
        <f t="shared" si="4"/>
        <v>240</v>
      </c>
      <c r="M9" s="19">
        <f t="shared" si="1"/>
        <v>4285.918196887726</v>
      </c>
      <c r="N9" s="19">
        <f t="shared" si="2"/>
        <v>3090.225431075096</v>
      </c>
      <c r="O9" s="19">
        <f t="shared" si="5"/>
        <v>7376.1436279628215</v>
      </c>
    </row>
    <row r="10" spans="1:15" ht="47.25" customHeight="1">
      <c r="A10" s="2">
        <v>4</v>
      </c>
      <c r="B10" s="1" t="s">
        <v>1</v>
      </c>
      <c r="C10" s="1">
        <v>138</v>
      </c>
      <c r="D10" s="1">
        <v>52</v>
      </c>
      <c r="E10" s="1">
        <f>52-10</f>
        <v>42</v>
      </c>
      <c r="F10" s="19">
        <f t="shared" si="0"/>
        <v>0.8076923076923077</v>
      </c>
      <c r="G10" s="19">
        <f>C10*F10</f>
        <v>111.46153846153847</v>
      </c>
      <c r="H10" s="1">
        <v>60</v>
      </c>
      <c r="I10" s="1">
        <v>16</v>
      </c>
      <c r="J10" s="19">
        <f t="shared" si="3"/>
        <v>187.46153846153845</v>
      </c>
      <c r="K10" s="1">
        <f>80+2+15-10+10-10</f>
        <v>87</v>
      </c>
      <c r="L10" s="19">
        <f t="shared" si="4"/>
        <v>274.46153846153845</v>
      </c>
      <c r="M10" s="19">
        <f t="shared" si="1"/>
        <v>4591.113250907862</v>
      </c>
      <c r="N10" s="19">
        <f t="shared" si="2"/>
        <v>4136.147884669744</v>
      </c>
      <c r="O10" s="19">
        <f t="shared" si="5"/>
        <v>8727.261135577606</v>
      </c>
    </row>
    <row r="11" spans="1:15" ht="38.25" customHeight="1">
      <c r="A11" s="2">
        <v>5</v>
      </c>
      <c r="B11" s="1" t="s">
        <v>16</v>
      </c>
      <c r="C11" s="1">
        <v>60</v>
      </c>
      <c r="D11" s="1">
        <v>24</v>
      </c>
      <c r="E11" s="1">
        <v>20</v>
      </c>
      <c r="F11" s="19">
        <f t="shared" si="0"/>
        <v>0.8333333333333334</v>
      </c>
      <c r="G11" s="19">
        <f>F11*C11</f>
        <v>50</v>
      </c>
      <c r="H11" s="1">
        <v>60</v>
      </c>
      <c r="I11" s="1">
        <v>0</v>
      </c>
      <c r="J11" s="19">
        <f t="shared" si="3"/>
        <v>110</v>
      </c>
      <c r="K11" s="1">
        <f>45+2</f>
        <v>47</v>
      </c>
      <c r="L11" s="19">
        <f t="shared" si="4"/>
        <v>157</v>
      </c>
      <c r="M11" s="19">
        <f t="shared" si="1"/>
        <v>2694.0057237579986</v>
      </c>
      <c r="N11" s="19">
        <f t="shared" si="2"/>
        <v>2234.4706963158387</v>
      </c>
      <c r="O11" s="19">
        <f t="shared" si="5"/>
        <v>4928.476420073837</v>
      </c>
    </row>
    <row r="12" spans="1:15" ht="37.5" customHeight="1">
      <c r="A12" s="2">
        <v>6</v>
      </c>
      <c r="B12" s="1" t="s">
        <v>27</v>
      </c>
      <c r="C12" s="1">
        <v>175</v>
      </c>
      <c r="D12" s="1">
        <v>58</v>
      </c>
      <c r="E12" s="1">
        <v>60</v>
      </c>
      <c r="F12" s="19">
        <f t="shared" si="0"/>
        <v>1.0344827586206897</v>
      </c>
      <c r="G12" s="19">
        <f>C12</f>
        <v>175</v>
      </c>
      <c r="H12" s="1">
        <v>60</v>
      </c>
      <c r="I12" s="1">
        <v>0</v>
      </c>
      <c r="J12" s="19">
        <f>G12+H12+I12</f>
        <v>235</v>
      </c>
      <c r="K12" s="1">
        <f>88+2+15</f>
        <v>105</v>
      </c>
      <c r="L12" s="19">
        <f>J12+K12</f>
        <v>340</v>
      </c>
      <c r="M12" s="19">
        <f t="shared" si="1"/>
        <v>5755.375864392088</v>
      </c>
      <c r="N12" s="19">
        <f t="shared" si="2"/>
        <v>4991.902619429002</v>
      </c>
      <c r="O12" s="19">
        <f t="shared" si="5"/>
        <v>10747.27848382109</v>
      </c>
    </row>
    <row r="13" spans="1:15" ht="30.75" customHeight="1">
      <c r="A13" s="2">
        <v>7</v>
      </c>
      <c r="B13" s="1" t="s">
        <v>2</v>
      </c>
      <c r="C13" s="1">
        <v>70</v>
      </c>
      <c r="D13" s="1">
        <v>41</v>
      </c>
      <c r="E13" s="1">
        <f>50-5</f>
        <v>45</v>
      </c>
      <c r="F13" s="19">
        <f t="shared" si="0"/>
        <v>1.0975609756097562</v>
      </c>
      <c r="G13" s="19">
        <f>C13</f>
        <v>70</v>
      </c>
      <c r="H13" s="1">
        <v>40</v>
      </c>
      <c r="I13" s="1">
        <v>0</v>
      </c>
      <c r="J13" s="19">
        <f t="shared" si="3"/>
        <v>110</v>
      </c>
      <c r="K13" s="1">
        <f>97.5+2-15</f>
        <v>84.5</v>
      </c>
      <c r="L13" s="19">
        <f t="shared" si="4"/>
        <v>194.5</v>
      </c>
      <c r="M13" s="19">
        <f t="shared" si="1"/>
        <v>2694.0057237579986</v>
      </c>
      <c r="N13" s="19">
        <f t="shared" si="2"/>
        <v>4017.293060397625</v>
      </c>
      <c r="O13" s="19">
        <f t="shared" si="5"/>
        <v>6711.298784155624</v>
      </c>
    </row>
    <row r="14" spans="1:15" ht="54.75" customHeight="1">
      <c r="A14" s="2">
        <v>8</v>
      </c>
      <c r="B14" s="1" t="s">
        <v>21</v>
      </c>
      <c r="C14" s="1">
        <f>120+40</f>
        <v>160</v>
      </c>
      <c r="D14" s="1">
        <v>65</v>
      </c>
      <c r="E14" s="1">
        <v>67.5</v>
      </c>
      <c r="F14" s="19">
        <f t="shared" si="0"/>
        <v>1.0384615384615385</v>
      </c>
      <c r="G14" s="19">
        <f>C14</f>
        <v>160</v>
      </c>
      <c r="H14" s="1">
        <v>40</v>
      </c>
      <c r="I14" s="1">
        <v>0</v>
      </c>
      <c r="J14" s="19">
        <f t="shared" si="3"/>
        <v>200</v>
      </c>
      <c r="K14" s="1">
        <f>98+2-10+15+2-10+2.5+22.5</f>
        <v>122</v>
      </c>
      <c r="L14" s="19">
        <f>J14+K14</f>
        <v>322</v>
      </c>
      <c r="M14" s="19">
        <f t="shared" si="1"/>
        <v>4898.1922250145435</v>
      </c>
      <c r="N14" s="19">
        <f t="shared" si="2"/>
        <v>5800.115424479412</v>
      </c>
      <c r="O14" s="19">
        <f t="shared" si="5"/>
        <v>10698.307649493956</v>
      </c>
    </row>
    <row r="15" spans="1:15" ht="39.75" customHeight="1">
      <c r="A15" s="2">
        <v>9</v>
      </c>
      <c r="B15" s="1" t="s">
        <v>5</v>
      </c>
      <c r="C15" s="1">
        <v>77</v>
      </c>
      <c r="D15" s="1">
        <v>33</v>
      </c>
      <c r="E15" s="1">
        <v>30</v>
      </c>
      <c r="F15" s="19">
        <f t="shared" si="0"/>
        <v>0.9090909090909091</v>
      </c>
      <c r="G15" s="19">
        <f>C15*F15</f>
        <v>70</v>
      </c>
      <c r="H15" s="1">
        <v>40</v>
      </c>
      <c r="I15" s="1">
        <v>0</v>
      </c>
      <c r="J15" s="19">
        <f aca="true" t="shared" si="6" ref="J15:J24">G15+H15+I15</f>
        <v>110</v>
      </c>
      <c r="K15" s="1">
        <f>60+2</f>
        <v>62</v>
      </c>
      <c r="L15" s="19">
        <f t="shared" si="4"/>
        <v>172</v>
      </c>
      <c r="M15" s="19">
        <f t="shared" si="1"/>
        <v>2694.0057237579986</v>
      </c>
      <c r="N15" s="19">
        <f t="shared" si="2"/>
        <v>2947.599641948553</v>
      </c>
      <c r="O15" s="19">
        <f t="shared" si="5"/>
        <v>5641.605365706551</v>
      </c>
    </row>
    <row r="16" spans="1:15" ht="39" customHeight="1">
      <c r="A16" s="2">
        <v>10</v>
      </c>
      <c r="B16" s="1" t="s">
        <v>17</v>
      </c>
      <c r="C16" s="1">
        <v>120</v>
      </c>
      <c r="D16" s="1">
        <v>40</v>
      </c>
      <c r="E16" s="1">
        <f>30-10+5-5</f>
        <v>20</v>
      </c>
      <c r="F16" s="19">
        <f t="shared" si="0"/>
        <v>0.5</v>
      </c>
      <c r="G16" s="19">
        <f>F16*C16</f>
        <v>60</v>
      </c>
      <c r="H16" s="1">
        <v>40</v>
      </c>
      <c r="I16" s="1">
        <v>0</v>
      </c>
      <c r="J16" s="19">
        <f t="shared" si="6"/>
        <v>100</v>
      </c>
      <c r="K16" s="1">
        <f>69.5+2-15+5-9-7.5</f>
        <v>45</v>
      </c>
      <c r="L16" s="19">
        <f t="shared" si="4"/>
        <v>145</v>
      </c>
      <c r="M16" s="19">
        <f t="shared" si="1"/>
        <v>2449.0961125072718</v>
      </c>
      <c r="N16" s="19">
        <f t="shared" si="2"/>
        <v>2139.3868368981434</v>
      </c>
      <c r="O16" s="19">
        <f t="shared" si="5"/>
        <v>4588.482949405416</v>
      </c>
    </row>
    <row r="17" spans="1:15" ht="32.25" customHeight="1">
      <c r="A17" s="2">
        <v>11</v>
      </c>
      <c r="B17" s="1" t="s">
        <v>25</v>
      </c>
      <c r="C17" s="1">
        <v>50</v>
      </c>
      <c r="D17" s="1">
        <v>20</v>
      </c>
      <c r="E17" s="1">
        <v>20</v>
      </c>
      <c r="F17" s="19">
        <f t="shared" si="0"/>
        <v>1</v>
      </c>
      <c r="G17" s="19">
        <f>C17</f>
        <v>50</v>
      </c>
      <c r="H17" s="1">
        <v>40</v>
      </c>
      <c r="I17" s="1">
        <v>0</v>
      </c>
      <c r="J17" s="19">
        <f>G17+H17+I17</f>
        <v>90</v>
      </c>
      <c r="K17" s="1">
        <f>45+2</f>
        <v>47</v>
      </c>
      <c r="L17" s="19">
        <f>J17+K17</f>
        <v>137</v>
      </c>
      <c r="M17" s="19">
        <f t="shared" si="1"/>
        <v>2204.1865012565445</v>
      </c>
      <c r="N17" s="19">
        <f t="shared" si="2"/>
        <v>2234.4706963158387</v>
      </c>
      <c r="O17" s="19">
        <f t="shared" si="5"/>
        <v>4438.657197572384</v>
      </c>
    </row>
    <row r="18" spans="1:15" ht="38.25" customHeight="1">
      <c r="A18" s="2">
        <v>12</v>
      </c>
      <c r="B18" s="1" t="s">
        <v>24</v>
      </c>
      <c r="C18" s="1">
        <v>80</v>
      </c>
      <c r="D18" s="1">
        <v>25</v>
      </c>
      <c r="E18" s="1">
        <v>22.5</v>
      </c>
      <c r="F18" s="19">
        <f t="shared" si="0"/>
        <v>0.9</v>
      </c>
      <c r="G18" s="19">
        <f>F18*C18</f>
        <v>72</v>
      </c>
      <c r="H18" s="1">
        <v>60</v>
      </c>
      <c r="I18" s="1">
        <v>0</v>
      </c>
      <c r="J18" s="19">
        <f t="shared" si="6"/>
        <v>132</v>
      </c>
      <c r="K18" s="1">
        <f>50.5+2</f>
        <v>52.5</v>
      </c>
      <c r="L18" s="19">
        <f>J18+K18</f>
        <v>184.5</v>
      </c>
      <c r="M18" s="19">
        <f t="shared" si="1"/>
        <v>3232.8068685095986</v>
      </c>
      <c r="N18" s="19">
        <f t="shared" si="2"/>
        <v>2495.951309714501</v>
      </c>
      <c r="O18" s="19">
        <f t="shared" si="5"/>
        <v>5728.7581782240995</v>
      </c>
    </row>
    <row r="19" spans="1:15" ht="37.5" customHeight="1">
      <c r="A19" s="2">
        <v>13</v>
      </c>
      <c r="B19" s="1" t="s">
        <v>26</v>
      </c>
      <c r="C19" s="1">
        <v>105</v>
      </c>
      <c r="D19" s="1">
        <v>29</v>
      </c>
      <c r="E19" s="1">
        <v>20</v>
      </c>
      <c r="F19" s="19">
        <v>0.69</v>
      </c>
      <c r="G19" s="19">
        <f>F19*C19</f>
        <v>72.44999999999999</v>
      </c>
      <c r="H19" s="1">
        <v>40</v>
      </c>
      <c r="I19" s="1">
        <v>0</v>
      </c>
      <c r="J19" s="19">
        <f>G19+H19+I19</f>
        <v>112.44999999999999</v>
      </c>
      <c r="K19" s="1">
        <f>48+2</f>
        <v>50</v>
      </c>
      <c r="L19" s="19">
        <f>J19+K19</f>
        <v>162.45</v>
      </c>
      <c r="M19" s="19">
        <f t="shared" si="1"/>
        <v>2754.0085785144265</v>
      </c>
      <c r="N19" s="19">
        <f t="shared" si="2"/>
        <v>2377.0964854423814</v>
      </c>
      <c r="O19" s="19">
        <f t="shared" si="5"/>
        <v>5131.1050639568075</v>
      </c>
    </row>
    <row r="20" spans="1:15" ht="46.5" customHeight="1">
      <c r="A20" s="2">
        <v>14</v>
      </c>
      <c r="B20" s="1" t="s">
        <v>22</v>
      </c>
      <c r="C20" s="1">
        <v>60</v>
      </c>
      <c r="D20" s="1">
        <v>24</v>
      </c>
      <c r="E20" s="1">
        <v>40</v>
      </c>
      <c r="F20" s="19">
        <f aca="true" t="shared" si="7" ref="F20:F28">E20/D20</f>
        <v>1.6666666666666667</v>
      </c>
      <c r="G20" s="19">
        <f>C20</f>
        <v>60</v>
      </c>
      <c r="H20" s="1">
        <v>40</v>
      </c>
      <c r="I20" s="1">
        <v>0</v>
      </c>
      <c r="J20" s="19">
        <f t="shared" si="6"/>
        <v>100</v>
      </c>
      <c r="K20" s="1">
        <f>70+2</f>
        <v>72</v>
      </c>
      <c r="L20" s="19">
        <f>J20+K20</f>
        <v>172</v>
      </c>
      <c r="M20" s="19">
        <f t="shared" si="1"/>
        <v>2449.0961125072718</v>
      </c>
      <c r="N20" s="19">
        <f t="shared" si="2"/>
        <v>3423.0189390370297</v>
      </c>
      <c r="O20" s="19">
        <f t="shared" si="5"/>
        <v>5872.115051544301</v>
      </c>
    </row>
    <row r="21" spans="1:15" ht="50.25" customHeight="1">
      <c r="A21" s="2">
        <v>15</v>
      </c>
      <c r="B21" s="1" t="s">
        <v>32</v>
      </c>
      <c r="C21" s="1">
        <f>395-28</f>
        <v>367</v>
      </c>
      <c r="D21" s="1">
        <f>150-32</f>
        <v>118</v>
      </c>
      <c r="E21" s="1">
        <f>230-10</f>
        <v>220</v>
      </c>
      <c r="F21" s="19">
        <f t="shared" si="7"/>
        <v>1.8644067796610169</v>
      </c>
      <c r="G21" s="19">
        <f>C21</f>
        <v>367</v>
      </c>
      <c r="H21" s="1">
        <v>40</v>
      </c>
      <c r="I21" s="1">
        <v>0</v>
      </c>
      <c r="J21" s="19">
        <f t="shared" si="6"/>
        <v>407</v>
      </c>
      <c r="K21" s="1">
        <f>330.72+4.06-10-40+20-20-10-0.56</f>
        <v>274.22</v>
      </c>
      <c r="L21" s="19">
        <f t="shared" si="4"/>
        <v>681.22</v>
      </c>
      <c r="M21" s="19">
        <f t="shared" si="1"/>
        <v>9967.821177904596</v>
      </c>
      <c r="N21" s="19">
        <f t="shared" si="2"/>
        <v>13036.947964760198</v>
      </c>
      <c r="O21" s="19">
        <f t="shared" si="5"/>
        <v>23004.769142664794</v>
      </c>
    </row>
    <row r="22" spans="1:15" ht="35.25" customHeight="1">
      <c r="A22" s="2">
        <v>16</v>
      </c>
      <c r="B22" s="1" t="s">
        <v>3</v>
      </c>
      <c r="C22" s="1">
        <v>78</v>
      </c>
      <c r="D22" s="1">
        <v>38</v>
      </c>
      <c r="E22" s="1">
        <f>60-10+10+2-10+30-20</f>
        <v>62</v>
      </c>
      <c r="F22" s="19">
        <f t="shared" si="7"/>
        <v>1.631578947368421</v>
      </c>
      <c r="G22" s="19">
        <f>C22</f>
        <v>78</v>
      </c>
      <c r="H22" s="1">
        <f>60+60-60</f>
        <v>60</v>
      </c>
      <c r="I22" s="1">
        <v>40</v>
      </c>
      <c r="J22" s="19">
        <f t="shared" si="6"/>
        <v>178</v>
      </c>
      <c r="K22" s="1">
        <f>86+2+45+2-15+10+10-15-18-2-18+30+10-30</f>
        <v>97</v>
      </c>
      <c r="L22" s="19">
        <f t="shared" si="4"/>
        <v>275</v>
      </c>
      <c r="M22" s="19">
        <f t="shared" si="1"/>
        <v>4359.391080262943</v>
      </c>
      <c r="N22" s="19">
        <f t="shared" si="2"/>
        <v>4611.567181758221</v>
      </c>
      <c r="O22" s="19">
        <f t="shared" si="5"/>
        <v>8970.958262021164</v>
      </c>
    </row>
    <row r="23" spans="1:15" ht="50.25" customHeight="1">
      <c r="A23" s="2">
        <v>17</v>
      </c>
      <c r="B23" s="1" t="s">
        <v>4</v>
      </c>
      <c r="C23" s="1">
        <v>55</v>
      </c>
      <c r="D23" s="1">
        <v>20</v>
      </c>
      <c r="E23" s="1">
        <v>20</v>
      </c>
      <c r="F23" s="19">
        <f t="shared" si="7"/>
        <v>1</v>
      </c>
      <c r="G23" s="19">
        <f>F23*C23</f>
        <v>55</v>
      </c>
      <c r="H23" s="1">
        <v>40</v>
      </c>
      <c r="I23" s="1">
        <v>0</v>
      </c>
      <c r="J23" s="19">
        <f t="shared" si="6"/>
        <v>95</v>
      </c>
      <c r="K23" s="1">
        <f>45+2</f>
        <v>47</v>
      </c>
      <c r="L23" s="19">
        <f t="shared" si="4"/>
        <v>142</v>
      </c>
      <c r="M23" s="19">
        <f t="shared" si="1"/>
        <v>2326.641306881908</v>
      </c>
      <c r="N23" s="19">
        <f t="shared" si="2"/>
        <v>2234.4706963158387</v>
      </c>
      <c r="O23" s="19">
        <f t="shared" si="5"/>
        <v>4561.112003197746</v>
      </c>
    </row>
    <row r="24" spans="1:15" ht="37.5" customHeight="1">
      <c r="A24" s="2">
        <v>18</v>
      </c>
      <c r="B24" s="1" t="s">
        <v>23</v>
      </c>
      <c r="C24" s="1">
        <v>261</v>
      </c>
      <c r="D24" s="1">
        <v>115</v>
      </c>
      <c r="E24" s="1">
        <f>115-10</f>
        <v>105</v>
      </c>
      <c r="F24" s="19">
        <f t="shared" si="7"/>
        <v>0.9130434782608695</v>
      </c>
      <c r="G24" s="19">
        <f>F24*C24</f>
        <v>238.30434782608694</v>
      </c>
      <c r="H24" s="1">
        <v>300</v>
      </c>
      <c r="I24" s="1">
        <v>40</v>
      </c>
      <c r="J24" s="19">
        <f t="shared" si="6"/>
        <v>578.304347826087</v>
      </c>
      <c r="K24" s="1">
        <f>218+4.38-15-20</f>
        <v>187.38</v>
      </c>
      <c r="L24" s="19">
        <f>J24+K24</f>
        <v>765.684347826087</v>
      </c>
      <c r="M24" s="19">
        <f t="shared" si="1"/>
        <v>14163.229301069226</v>
      </c>
      <c r="N24" s="19">
        <f t="shared" si="2"/>
        <v>8908.40678884387</v>
      </c>
      <c r="O24" s="19">
        <f t="shared" si="5"/>
        <v>23071.636089913096</v>
      </c>
    </row>
    <row r="25" spans="1:15" ht="37.5" customHeight="1">
      <c r="A25" s="2">
        <v>19</v>
      </c>
      <c r="B25" s="1" t="s">
        <v>28</v>
      </c>
      <c r="C25" s="1">
        <f>126-4</f>
        <v>122</v>
      </c>
      <c r="D25" s="1">
        <v>40</v>
      </c>
      <c r="E25" s="1">
        <v>50</v>
      </c>
      <c r="F25" s="19">
        <f t="shared" si="7"/>
        <v>1.25</v>
      </c>
      <c r="G25" s="19">
        <f>C25</f>
        <v>122</v>
      </c>
      <c r="H25" s="1">
        <f>40+20</f>
        <v>60</v>
      </c>
      <c r="I25" s="1">
        <v>0</v>
      </c>
      <c r="J25" s="19">
        <f>G25+H25+I25</f>
        <v>182</v>
      </c>
      <c r="K25" s="1">
        <f>95+3.75-2-10+9+15</f>
        <v>110.75</v>
      </c>
      <c r="L25" s="19">
        <f>J25+K25</f>
        <v>292.75</v>
      </c>
      <c r="M25" s="19">
        <f t="shared" si="1"/>
        <v>4457.3549247632345</v>
      </c>
      <c r="N25" s="19">
        <f t="shared" si="2"/>
        <v>5265.268715254875</v>
      </c>
      <c r="O25" s="19">
        <f t="shared" si="5"/>
        <v>9722.62364001811</v>
      </c>
    </row>
    <row r="26" spans="1:15" ht="37.5" customHeight="1">
      <c r="A26" s="2">
        <v>20</v>
      </c>
      <c r="B26" s="1" t="s">
        <v>35</v>
      </c>
      <c r="C26" s="1">
        <v>50</v>
      </c>
      <c r="D26" s="1">
        <v>21</v>
      </c>
      <c r="E26" s="1">
        <v>22</v>
      </c>
      <c r="F26" s="19">
        <f t="shared" si="7"/>
        <v>1.0476190476190477</v>
      </c>
      <c r="G26" s="19">
        <f>C26</f>
        <v>50</v>
      </c>
      <c r="H26" s="1">
        <v>40</v>
      </c>
      <c r="I26" s="1">
        <v>0</v>
      </c>
      <c r="J26" s="19">
        <f>G26+H26+I26</f>
        <v>90</v>
      </c>
      <c r="K26" s="1">
        <f>55+2</f>
        <v>57</v>
      </c>
      <c r="L26" s="19">
        <f>J26+K26</f>
        <v>147</v>
      </c>
      <c r="M26" s="19">
        <f t="shared" si="1"/>
        <v>2204.1865012565445</v>
      </c>
      <c r="N26" s="19">
        <f t="shared" si="2"/>
        <v>2709.889993404315</v>
      </c>
      <c r="O26" s="19">
        <f t="shared" si="5"/>
        <v>4914.07649466086</v>
      </c>
    </row>
    <row r="27" spans="1:15" ht="54" customHeight="1">
      <c r="A27" s="2">
        <v>21</v>
      </c>
      <c r="B27" s="1" t="s">
        <v>19</v>
      </c>
      <c r="C27" s="1">
        <v>70</v>
      </c>
      <c r="D27" s="1">
        <v>28</v>
      </c>
      <c r="E27" s="1">
        <v>35</v>
      </c>
      <c r="F27" s="19">
        <f t="shared" si="7"/>
        <v>1.25</v>
      </c>
      <c r="G27" s="19">
        <f>C27</f>
        <v>70</v>
      </c>
      <c r="H27" s="1">
        <v>60</v>
      </c>
      <c r="I27" s="1">
        <v>0</v>
      </c>
      <c r="J27" s="19">
        <f>G27+H27+I27</f>
        <v>130</v>
      </c>
      <c r="K27" s="1">
        <f>77+3.28</f>
        <v>80.28</v>
      </c>
      <c r="L27" s="19">
        <f t="shared" si="4"/>
        <v>210.28</v>
      </c>
      <c r="M27" s="19">
        <f t="shared" si="1"/>
        <v>3183.824946259453</v>
      </c>
      <c r="N27" s="19">
        <f t="shared" si="2"/>
        <v>3816.666117026288</v>
      </c>
      <c r="O27" s="19">
        <f t="shared" si="5"/>
        <v>7000.491063285741</v>
      </c>
    </row>
    <row r="28" spans="1:15" ht="89.25" customHeight="1">
      <c r="A28" s="2">
        <v>22</v>
      </c>
      <c r="B28" s="1" t="s">
        <v>20</v>
      </c>
      <c r="C28" s="1">
        <v>255</v>
      </c>
      <c r="D28" s="1">
        <v>95</v>
      </c>
      <c r="E28" s="1">
        <f>126-10</f>
        <v>116</v>
      </c>
      <c r="F28" s="19">
        <f t="shared" si="7"/>
        <v>1.2210526315789474</v>
      </c>
      <c r="G28" s="19">
        <f>C28</f>
        <v>255</v>
      </c>
      <c r="H28" s="1">
        <v>60</v>
      </c>
      <c r="I28" s="1">
        <v>40</v>
      </c>
      <c r="J28" s="19">
        <f>G28+H28+I28</f>
        <v>355</v>
      </c>
      <c r="K28" s="1">
        <f>203+2-15</f>
        <v>190</v>
      </c>
      <c r="L28" s="19">
        <f t="shared" si="4"/>
        <v>545</v>
      </c>
      <c r="M28" s="19">
        <f t="shared" si="1"/>
        <v>8694.291199400814</v>
      </c>
      <c r="N28" s="19">
        <f t="shared" si="2"/>
        <v>9032.96664468105</v>
      </c>
      <c r="O28" s="19">
        <f t="shared" si="5"/>
        <v>17727.25784408186</v>
      </c>
    </row>
    <row r="29" spans="1:15" ht="37.5" customHeight="1">
      <c r="A29" s="1"/>
      <c r="B29" s="1" t="s">
        <v>7</v>
      </c>
      <c r="C29" s="19">
        <f>SUM(C7:C28)</f>
        <v>2833</v>
      </c>
      <c r="D29" s="19">
        <f>SUM(D7:D28)</f>
        <v>1044</v>
      </c>
      <c r="E29" s="19">
        <f>SUM(E7:E28)</f>
        <v>1174.5</v>
      </c>
      <c r="F29" s="19"/>
      <c r="G29" s="19">
        <f>SUM(G7:G28)</f>
        <v>2644.3977044694434</v>
      </c>
      <c r="H29" s="1">
        <f>SUM(H7:H28)</f>
        <v>1340</v>
      </c>
      <c r="I29" s="1">
        <f>SUM(I8:I28)</f>
        <v>136</v>
      </c>
      <c r="J29" s="19">
        <f aca="true" t="shared" si="8" ref="J29:O29">SUM(J7:J28)</f>
        <v>4120.397704469444</v>
      </c>
      <c r="K29" s="19">
        <f t="shared" si="8"/>
        <v>2122.6000000000004</v>
      </c>
      <c r="L29" s="19">
        <f t="shared" si="8"/>
        <v>6242.997704469443</v>
      </c>
      <c r="M29" s="19">
        <f t="shared" si="8"/>
        <v>100912.5</v>
      </c>
      <c r="N29" s="19">
        <f t="shared" si="8"/>
        <v>100912.49999999997</v>
      </c>
      <c r="O29" s="19">
        <f t="shared" si="8"/>
        <v>201824.99999999994</v>
      </c>
    </row>
    <row r="30" spans="1:15" ht="19.5" customHeight="1">
      <c r="A30" s="4"/>
      <c r="B30" s="5"/>
      <c r="C30" s="3"/>
      <c r="D30" s="6"/>
      <c r="E30" s="6"/>
      <c r="F30" s="6"/>
      <c r="G30" s="6"/>
      <c r="H30" s="4"/>
      <c r="I30" s="4"/>
      <c r="J30" s="6"/>
      <c r="K30" s="6"/>
      <c r="L30" s="6"/>
      <c r="M30" s="6"/>
      <c r="N30" s="6"/>
      <c r="O30" s="6"/>
    </row>
    <row r="31" spans="1:15" ht="33.75" customHeight="1">
      <c r="A31" s="4"/>
      <c r="B31" s="5" t="s">
        <v>40</v>
      </c>
      <c r="C31" s="3">
        <v>225000</v>
      </c>
      <c r="D31" s="6"/>
      <c r="E31" s="6"/>
      <c r="F31" s="6"/>
      <c r="G31" s="6"/>
      <c r="H31" s="4"/>
      <c r="I31" s="4"/>
      <c r="J31" s="6"/>
      <c r="K31" s="6"/>
      <c r="L31" s="6"/>
      <c r="M31" s="6"/>
      <c r="N31" s="6"/>
      <c r="O31" s="6"/>
    </row>
    <row r="32" spans="1:15" ht="20.25" customHeight="1">
      <c r="A32" s="4"/>
      <c r="D32" s="6"/>
      <c r="E32" s="6"/>
      <c r="F32" s="6"/>
      <c r="G32" s="6"/>
      <c r="H32" s="4"/>
      <c r="I32" s="4"/>
      <c r="J32" s="6"/>
      <c r="K32" s="6"/>
      <c r="L32" s="6"/>
      <c r="M32" s="6"/>
      <c r="N32" s="6"/>
      <c r="O32" s="6"/>
    </row>
    <row r="33" spans="1:15" ht="30" customHeight="1">
      <c r="A33" s="4"/>
      <c r="B33" s="5" t="s">
        <v>39</v>
      </c>
      <c r="C33" s="25" t="s">
        <v>46</v>
      </c>
      <c r="D33" s="6"/>
      <c r="E33" s="6"/>
      <c r="F33" s="6"/>
      <c r="G33" s="6"/>
      <c r="H33" s="4"/>
      <c r="I33" s="4"/>
      <c r="J33" s="6"/>
      <c r="K33" s="6"/>
      <c r="L33" s="6"/>
      <c r="M33" s="6"/>
      <c r="N33" s="6"/>
      <c r="O33" s="6"/>
    </row>
    <row r="34" spans="1:15" ht="30" customHeight="1">
      <c r="A34" s="4"/>
      <c r="B34" s="26" t="s">
        <v>41</v>
      </c>
      <c r="C34" s="3">
        <f>C31*10.3%</f>
        <v>23175.000000000004</v>
      </c>
      <c r="D34" s="4"/>
      <c r="E34" s="6"/>
      <c r="F34" s="6"/>
      <c r="G34" s="6"/>
      <c r="H34" s="4"/>
      <c r="I34" s="4"/>
      <c r="J34" s="6"/>
      <c r="K34" s="6"/>
      <c r="L34" s="6"/>
      <c r="M34" s="6"/>
      <c r="N34" s="6"/>
      <c r="O34" s="10"/>
    </row>
    <row r="35" spans="1:15" ht="18.75" customHeight="1">
      <c r="A35" s="4"/>
      <c r="B35" s="5"/>
      <c r="C35" s="25"/>
      <c r="D35" s="4"/>
      <c r="E35" s="6"/>
      <c r="F35" s="6"/>
      <c r="G35" s="6"/>
      <c r="H35" s="4"/>
      <c r="I35" s="4"/>
      <c r="J35" s="6"/>
      <c r="K35" s="6"/>
      <c r="L35" s="6"/>
      <c r="M35" s="6"/>
      <c r="N35" s="17"/>
      <c r="O35" s="10"/>
    </row>
    <row r="36" spans="1:13" ht="33.75" customHeight="1">
      <c r="A36" s="4"/>
      <c r="B36" s="5" t="s">
        <v>42</v>
      </c>
      <c r="C36" s="3">
        <f>C31-C34</f>
        <v>201825</v>
      </c>
      <c r="D36" s="21"/>
      <c r="E36" s="3"/>
      <c r="F36" s="22"/>
      <c r="H36" s="11"/>
      <c r="K36" s="16"/>
      <c r="L36" s="16"/>
      <c r="M36" s="16"/>
    </row>
    <row r="37" spans="1:14" ht="22.5" customHeight="1">
      <c r="A37" s="4"/>
      <c r="B37" s="12" t="s">
        <v>34</v>
      </c>
      <c r="D37" s="3">
        <f>C36/2</f>
        <v>100912.5</v>
      </c>
      <c r="E37" s="13"/>
      <c r="F37" s="8"/>
      <c r="H37" s="11"/>
      <c r="K37" s="11"/>
      <c r="M37" s="11"/>
      <c r="N37" s="11"/>
    </row>
    <row r="38" spans="1:14" ht="24" customHeight="1">
      <c r="A38" s="4"/>
      <c r="B38" s="12" t="s">
        <v>43</v>
      </c>
      <c r="D38" s="14">
        <f>D37/J29</f>
        <v>24.490961125072715</v>
      </c>
      <c r="E38" s="13"/>
      <c r="K38" s="11"/>
      <c r="M38" s="11"/>
      <c r="N38" s="11"/>
    </row>
    <row r="39" spans="1:14" ht="21" customHeight="1">
      <c r="A39" s="4"/>
      <c r="B39" s="12" t="s">
        <v>33</v>
      </c>
      <c r="D39" s="3">
        <f>C36/2</f>
        <v>100912.5</v>
      </c>
      <c r="E39" s="15"/>
      <c r="K39" s="11"/>
      <c r="M39" s="11"/>
      <c r="N39" s="11"/>
    </row>
    <row r="40" spans="1:13" ht="18.75" customHeight="1">
      <c r="A40" s="4"/>
      <c r="B40" s="12" t="s">
        <v>44</v>
      </c>
      <c r="D40" s="14">
        <f>D39/K29</f>
        <v>47.54192970884763</v>
      </c>
      <c r="E40" s="15"/>
      <c r="F40" s="9"/>
      <c r="K40" s="11"/>
      <c r="L40" s="10"/>
      <c r="M40" s="11"/>
    </row>
    <row r="41" spans="1:6" ht="19.5" customHeight="1">
      <c r="A41" s="12"/>
      <c r="B41" s="12"/>
      <c r="D41" s="14"/>
      <c r="E41" s="15"/>
      <c r="F41" s="9"/>
    </row>
    <row r="42" spans="1:2" ht="14.25">
      <c r="A42" s="24"/>
      <c r="B42" s="12"/>
    </row>
    <row r="43" ht="14.25">
      <c r="B43" s="12"/>
    </row>
  </sheetData>
  <sheetProtection/>
  <printOptions/>
  <pageMargins left="0.31496062992125984" right="0.2755905511811024" top="0.3937007874015748" bottom="0.31496062992125984" header="0.2362204724409449" footer="0.15748031496062992"/>
  <pageSetup horizontalDpi="600" verticalDpi="600" orientation="landscape" paperSize="9" scale="55" r:id="rId1"/>
  <headerFooter alignWithMargins="0">
    <oddFooter>&amp;C&amp;P</oddFooter>
  </headerFooter>
  <rowBreaks count="2" manualBreakCount="2">
    <brk id="25" max="16" man="1"/>
    <brk id="4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2020-01-06T10:03:42Z</cp:lastPrinted>
  <dcterms:created xsi:type="dcterms:W3CDTF">2008-04-09T11:23:43Z</dcterms:created>
  <dcterms:modified xsi:type="dcterms:W3CDTF">2020-01-09T08:13:14Z</dcterms:modified>
  <cp:category/>
  <cp:version/>
  <cp:contentType/>
  <cp:contentStatus/>
</cp:coreProperties>
</file>